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95" windowWidth="22995" windowHeight="112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10" i="1" l="1"/>
  <c r="M9" i="1"/>
  <c r="G12" i="1"/>
  <c r="G10" i="1"/>
  <c r="G13" i="1" s="1"/>
  <c r="I12" i="1" s="1"/>
  <c r="I9" i="1"/>
  <c r="G9" i="1"/>
  <c r="G15" i="1" l="1"/>
  <c r="G17" i="1" s="1"/>
  <c r="G20" i="1" s="1"/>
  <c r="G21" i="1" s="1"/>
  <c r="G23" i="1" s="1"/>
  <c r="M8" i="1" l="1"/>
  <c r="M11" i="1" s="1"/>
  <c r="M12" i="1" s="1"/>
  <c r="G18" i="1"/>
</calcChain>
</file>

<file path=xl/sharedStrings.xml><?xml version="1.0" encoding="utf-8"?>
<sst xmlns="http://schemas.openxmlformats.org/spreadsheetml/2006/main" count="59" uniqueCount="51">
  <si>
    <t>Down Fill Rating</t>
  </si>
  <si>
    <t>% Down Overstuff</t>
  </si>
  <si>
    <t>Number of Baffle Chambers</t>
  </si>
  <si>
    <t>Baffle Chamber Cross-sectional Area</t>
  </si>
  <si>
    <t>Volume per Baffle Chamber</t>
  </si>
  <si>
    <t>Oz. of down per chamber</t>
  </si>
  <si>
    <t>Total Oz. of down</t>
  </si>
  <si>
    <t>inches by</t>
  </si>
  <si>
    <t>inches</t>
  </si>
  <si>
    <r>
      <t>inches</t>
    </r>
    <r>
      <rPr>
        <vertAlign val="superscript"/>
        <sz val="11"/>
        <color indexed="8"/>
        <rFont val="Calibri"/>
        <family val="2"/>
      </rPr>
      <t>2</t>
    </r>
  </si>
  <si>
    <r>
      <t>inches</t>
    </r>
    <r>
      <rPr>
        <vertAlign val="superscript"/>
        <sz val="11"/>
        <color indexed="8"/>
        <rFont val="Calibri"/>
        <family val="2"/>
      </rPr>
      <t>3</t>
    </r>
  </si>
  <si>
    <t>Total Chamber Volume</t>
  </si>
  <si>
    <t>oz.</t>
  </si>
  <si>
    <t>Input</t>
  </si>
  <si>
    <t>Output</t>
  </si>
  <si>
    <t>Degrees F</t>
  </si>
  <si>
    <t>Down Density</t>
  </si>
  <si>
    <r>
      <t>oz/inches</t>
    </r>
    <r>
      <rPr>
        <vertAlign val="superscript"/>
        <sz val="11"/>
        <color indexed="8"/>
        <rFont val="Calibri"/>
        <family val="2"/>
      </rPr>
      <t>3</t>
    </r>
  </si>
  <si>
    <t>Average Loft</t>
  </si>
  <si>
    <t>Approx. Weight of Quilt, excluding suspension</t>
  </si>
  <si>
    <t>TF</t>
  </si>
  <si>
    <r>
      <t>oz/inches</t>
    </r>
    <r>
      <rPr>
        <vertAlign val="superscript"/>
        <sz val="11"/>
        <color indexed="8"/>
        <rFont val="Calibri"/>
        <family val="2"/>
      </rPr>
      <t>2</t>
    </r>
  </si>
  <si>
    <t>Temperature Factor</t>
  </si>
  <si>
    <t>Temperature Rating</t>
  </si>
  <si>
    <r>
      <t>Temperature Rating (</t>
    </r>
    <r>
      <rPr>
        <sz val="14"/>
        <color indexed="10"/>
        <rFont val="Calibri"/>
        <family val="2"/>
      </rPr>
      <t>Experimental!</t>
    </r>
    <r>
      <rPr>
        <sz val="14"/>
        <color indexed="8"/>
        <rFont val="Calibri"/>
        <family val="2"/>
      </rPr>
      <t>)</t>
    </r>
  </si>
  <si>
    <t>UGQ Zeppelin 40</t>
  </si>
  <si>
    <t>UGQ Zeppelin 20</t>
  </si>
  <si>
    <t>UGQ Zeppelin 0</t>
  </si>
  <si>
    <t>HG Incubator 40</t>
  </si>
  <si>
    <t>HG Incubator 20</t>
  </si>
  <si>
    <t>HG Incubator 0</t>
  </si>
  <si>
    <t>TR</t>
  </si>
  <si>
    <t>Fill Power Correction Factor</t>
  </si>
  <si>
    <t>FP/850 (Data series based on 850FP)</t>
  </si>
  <si>
    <t>(Can enter a negative value for Understuff)</t>
  </si>
  <si>
    <t>Outer Shell Fabric Dimensions</t>
  </si>
  <si>
    <t>Inner Shell Fabric Dimensions</t>
  </si>
  <si>
    <t>(Experimental)</t>
  </si>
  <si>
    <r>
      <t>Baffle Material Weight per yd</t>
    </r>
    <r>
      <rPr>
        <vertAlign val="superscript"/>
        <sz val="11"/>
        <color indexed="8"/>
        <rFont val="Calibri"/>
        <family val="2"/>
      </rPr>
      <t>2</t>
    </r>
  </si>
  <si>
    <r>
      <t>Shell Fabric Weight per yd</t>
    </r>
    <r>
      <rPr>
        <vertAlign val="superscript"/>
        <sz val="11"/>
        <color indexed="8"/>
        <rFont val="Calibri"/>
        <family val="2"/>
      </rPr>
      <t>2</t>
    </r>
  </si>
  <si>
    <t>Quilt Dimension Overview</t>
  </si>
  <si>
    <t>Baffle Cross-section Detail</t>
  </si>
  <si>
    <r>
      <t>Width of Quilt, inches (</t>
    </r>
    <r>
      <rPr>
        <b/>
        <sz val="11"/>
        <color indexed="49"/>
        <rFont val="Calibri"/>
        <family val="2"/>
      </rPr>
      <t>W</t>
    </r>
    <r>
      <rPr>
        <sz val="11"/>
        <color theme="1"/>
        <rFont val="Calibri"/>
        <family val="2"/>
        <scheme val="minor"/>
      </rPr>
      <t>)</t>
    </r>
  </si>
  <si>
    <r>
      <t>Length of Quilt, inches (</t>
    </r>
    <r>
      <rPr>
        <b/>
        <sz val="11"/>
        <color indexed="49"/>
        <rFont val="Calibri"/>
        <family val="2"/>
      </rPr>
      <t>L</t>
    </r>
    <r>
      <rPr>
        <sz val="11"/>
        <color theme="1"/>
        <rFont val="Calibri"/>
        <family val="2"/>
        <scheme val="minor"/>
      </rPr>
      <t>)</t>
    </r>
  </si>
  <si>
    <r>
      <t>Inner Shell Fabric Width per Baffle (</t>
    </r>
    <r>
      <rPr>
        <b/>
        <sz val="11"/>
        <color indexed="51"/>
        <rFont val="Calibri"/>
        <family val="2"/>
      </rPr>
      <t>IWB</t>
    </r>
    <r>
      <rPr>
        <sz val="11"/>
        <color theme="1"/>
        <rFont val="Calibri"/>
        <family val="2"/>
        <scheme val="minor"/>
      </rPr>
      <t>)</t>
    </r>
  </si>
  <si>
    <r>
      <t>Outer Shell Fabric Width per Baffle (</t>
    </r>
    <r>
      <rPr>
        <b/>
        <sz val="11"/>
        <color indexed="51"/>
        <rFont val="Calibri"/>
        <family val="2"/>
      </rPr>
      <t>OWB</t>
    </r>
    <r>
      <rPr>
        <sz val="11"/>
        <color theme="1"/>
        <rFont val="Calibri"/>
        <family val="2"/>
        <scheme val="minor"/>
      </rPr>
      <t>)</t>
    </r>
  </si>
  <si>
    <r>
      <t>Baffle Height, inches (</t>
    </r>
    <r>
      <rPr>
        <b/>
        <sz val="11"/>
        <color indexed="11"/>
        <rFont val="Calibri"/>
        <family val="2"/>
      </rPr>
      <t>Hb</t>
    </r>
    <r>
      <rPr>
        <sz val="11"/>
        <color theme="1"/>
        <rFont val="Calibri"/>
        <family val="2"/>
        <scheme val="minor"/>
      </rPr>
      <t>)</t>
    </r>
  </si>
  <si>
    <r>
      <t>Maximum Chamber Height, inches (</t>
    </r>
    <r>
      <rPr>
        <b/>
        <sz val="11"/>
        <color indexed="11"/>
        <rFont val="Calibri"/>
        <family val="2"/>
      </rPr>
      <t>Hc</t>
    </r>
    <r>
      <rPr>
        <sz val="11"/>
        <color theme="1"/>
        <rFont val="Calibri"/>
        <family val="2"/>
        <scheme val="minor"/>
      </rPr>
      <t>)</t>
    </r>
  </si>
  <si>
    <t>CatSplat's Differential Cut Underquilt Calculator V0.2 (Beta)</t>
  </si>
  <si>
    <t>For all dimensions, add your own seam/channel allowances</t>
  </si>
  <si>
    <t>June 13th 2012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</si>
</sst>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vertAlign val="superscript"/>
      <sz val="11"/>
      <color indexed="8"/>
      <name val="Calibri"/>
      <family val="2"/>
    </font>
    <font>
      <sz val="14"/>
      <color indexed="8"/>
      <name val="Calibri"/>
      <family val="2"/>
    </font>
    <font>
      <sz val="14"/>
      <color indexed="10"/>
      <name val="Calibri"/>
      <family val="2"/>
    </font>
    <font>
      <b/>
      <sz val="11"/>
      <color indexed="49"/>
      <name val="Calibri"/>
      <family val="2"/>
    </font>
    <font>
      <b/>
      <sz val="11"/>
      <color indexed="51"/>
      <name val="Calibri"/>
      <family val="2"/>
    </font>
    <font>
      <b/>
      <sz val="11"/>
      <color indexed="11"/>
      <name val="Calibri"/>
      <family val="2"/>
    </font>
    <font>
      <b/>
      <sz val="11"/>
      <color theme="1"/>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FFC000"/>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8" fillId="0" borderId="0" xfId="0" applyFont="1"/>
    <xf numFmtId="0" fontId="0" fillId="2" borderId="1" xfId="0" applyFill="1" applyBorder="1"/>
    <xf numFmtId="0" fontId="0" fillId="3" borderId="1" xfId="0" applyFill="1" applyBorder="1"/>
    <xf numFmtId="0" fontId="0" fillId="4" borderId="1" xfId="0" applyFill="1" applyBorder="1"/>
    <xf numFmtId="9" fontId="0" fillId="4" borderId="1" xfId="0" applyNumberFormat="1" applyFill="1" applyBorder="1"/>
    <xf numFmtId="0" fontId="0" fillId="5" borderId="0" xfId="0" applyFill="1"/>
    <xf numFmtId="0" fontId="0" fillId="6" borderId="0" xfId="0" applyFill="1"/>
    <xf numFmtId="0" fontId="0" fillId="7" borderId="0" xfId="0" applyFill="1"/>
    <xf numFmtId="1" fontId="0" fillId="8" borderId="0" xfId="0" applyNumberFormat="1" applyFill="1"/>
    <xf numFmtId="0" fontId="9" fillId="0" borderId="0" xfId="0" applyFont="1"/>
    <xf numFmtId="0" fontId="10" fillId="0" borderId="0" xfId="0" applyFont="1" applyAlignment="1">
      <alignment horizontal="center"/>
    </xf>
    <xf numFmtId="0" fontId="7" fillId="0" borderId="0" xfId="0" applyFont="1" applyAlignment="1">
      <alignment horizontal="center"/>
    </xf>
    <xf numFmtId="0" fontId="7" fillId="0" borderId="0" xfId="0" applyFont="1"/>
    <xf numFmtId="2" fontId="0" fillId="9" borderId="0" xfId="0" applyNumberFormat="1" applyFill="1"/>
    <xf numFmtId="2" fontId="0" fillId="6"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noFill/>
            </a:ln>
          </c:spPr>
          <c:trendline>
            <c:trendlineType val="linear"/>
            <c:forward val="1.0000000000000002E-3"/>
            <c:backward val="1.0000000000000002E-3"/>
            <c:dispRSqr val="1"/>
            <c:dispEq val="1"/>
            <c:trendlineLbl>
              <c:layout>
                <c:manualLayout>
                  <c:x val="2.8907034768802047E-3"/>
                  <c:y val="-0.49314924128695531"/>
                </c:manualLayout>
              </c:layout>
              <c:numFmt formatCode="#,##0.0000000000" sourceLinked="0"/>
            </c:trendlineLbl>
          </c:trendline>
          <c:xVal>
            <c:numRef>
              <c:f>Sheet1!$M$15:$M$20</c:f>
              <c:numCache>
                <c:formatCode>General</c:formatCode>
                <c:ptCount val="6"/>
                <c:pt idx="0">
                  <c:v>1.8132075754457926E-3</c:v>
                </c:pt>
                <c:pt idx="1">
                  <c:v>1.697270162156234E-3</c:v>
                </c:pt>
                <c:pt idx="2">
                  <c:v>2.8546125094481862E-3</c:v>
                </c:pt>
                <c:pt idx="3">
                  <c:v>2.9967017335623802E-3</c:v>
                </c:pt>
                <c:pt idx="4">
                  <c:v>3.8061500125975817E-3</c:v>
                </c:pt>
                <c:pt idx="5">
                  <c:v>4.2358458899924654E-3</c:v>
                </c:pt>
              </c:numCache>
            </c:numRef>
          </c:xVal>
          <c:yVal>
            <c:numRef>
              <c:f>Sheet1!$N$15:$N$20</c:f>
              <c:numCache>
                <c:formatCode>General</c:formatCode>
                <c:ptCount val="6"/>
                <c:pt idx="0">
                  <c:v>40</c:v>
                </c:pt>
                <c:pt idx="1">
                  <c:v>37.5</c:v>
                </c:pt>
                <c:pt idx="2">
                  <c:v>20</c:v>
                </c:pt>
                <c:pt idx="3">
                  <c:v>17.5</c:v>
                </c:pt>
                <c:pt idx="4">
                  <c:v>0</c:v>
                </c:pt>
                <c:pt idx="5">
                  <c:v>-2.5</c:v>
                </c:pt>
              </c:numCache>
            </c:numRef>
          </c:yVal>
          <c:smooth val="1"/>
        </c:ser>
        <c:dLbls>
          <c:showLegendKey val="0"/>
          <c:showVal val="0"/>
          <c:showCatName val="0"/>
          <c:showSerName val="0"/>
          <c:showPercent val="0"/>
          <c:showBubbleSize val="0"/>
        </c:dLbls>
        <c:axId val="44377216"/>
        <c:axId val="44377792"/>
      </c:scatterChart>
      <c:valAx>
        <c:axId val="44377216"/>
        <c:scaling>
          <c:orientation val="minMax"/>
        </c:scaling>
        <c:delete val="0"/>
        <c:axPos val="b"/>
        <c:title>
          <c:tx>
            <c:rich>
              <a:bodyPr/>
              <a:lstStyle/>
              <a:p>
                <a:pPr>
                  <a:defRPr/>
                </a:pPr>
                <a:r>
                  <a:rPr lang="en-US"/>
                  <a:t>Temperature Factor</a:t>
                </a:r>
              </a:p>
            </c:rich>
          </c:tx>
          <c:layout/>
          <c:overlay val="0"/>
        </c:title>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77792"/>
        <c:crosses val="autoZero"/>
        <c:crossBetween val="midCat"/>
      </c:valAx>
      <c:valAx>
        <c:axId val="44377792"/>
        <c:scaling>
          <c:orientation val="minMax"/>
        </c:scaling>
        <c:delete val="0"/>
        <c:axPos val="l"/>
        <c:majorGridlines/>
        <c:title>
          <c:tx>
            <c:rich>
              <a:bodyPr/>
              <a:lstStyle/>
              <a:p>
                <a:pPr>
                  <a:defRPr/>
                </a:pPr>
                <a:r>
                  <a:rPr lang="en-CA"/>
                  <a:t>Temperature</a:t>
                </a:r>
                <a:r>
                  <a:rPr lang="en-CA" baseline="0"/>
                  <a:t> Rating (F)</a:t>
                </a:r>
              </a:p>
            </c:rich>
          </c:tx>
          <c:layout/>
          <c:overlay val="0"/>
        </c:title>
        <c:numFmt formatCode="General" sourceLinked="1"/>
        <c:majorTickMark val="none"/>
        <c:minorTickMark val="none"/>
        <c:tickLblPos val="nextTo"/>
        <c:crossAx val="44377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11</xdr:col>
      <xdr:colOff>57150</xdr:colOff>
      <xdr:row>20</xdr:row>
      <xdr:rowOff>161925</xdr:rowOff>
    </xdr:from>
    <xdr:to>
      <xdr:col>18</xdr:col>
      <xdr:colOff>323850</xdr:colOff>
      <xdr:row>40</xdr:row>
      <xdr:rowOff>114300</xdr:rowOff>
    </xdr:to>
    <xdr:graphicFrame macro="">
      <xdr:nvGraphicFramePr>
        <xdr:cNvPr id="10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22</xdr:row>
      <xdr:rowOff>57150</xdr:rowOff>
    </xdr:from>
    <xdr:to>
      <xdr:col>2</xdr:col>
      <xdr:colOff>95250</xdr:colOff>
      <xdr:row>41</xdr:row>
      <xdr:rowOff>95250</xdr:rowOff>
    </xdr:to>
    <xdr:pic>
      <xdr:nvPicPr>
        <xdr:cNvPr id="104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629150"/>
          <a:ext cx="26289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27</xdr:row>
      <xdr:rowOff>66675</xdr:rowOff>
    </xdr:from>
    <xdr:to>
      <xdr:col>5</xdr:col>
      <xdr:colOff>1200150</xdr:colOff>
      <xdr:row>42</xdr:row>
      <xdr:rowOff>85725</xdr:rowOff>
    </xdr:to>
    <xdr:pic>
      <xdr:nvPicPr>
        <xdr:cNvPr id="104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5591175"/>
          <a:ext cx="318135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45</xdr:row>
      <xdr:rowOff>0</xdr:rowOff>
    </xdr:from>
    <xdr:to>
      <xdr:col>5</xdr:col>
      <xdr:colOff>2943225</xdr:colOff>
      <xdr:row>50</xdr:row>
      <xdr:rowOff>0</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0075" y="8953500"/>
          <a:ext cx="7143750" cy="952500"/>
        </a:xfrm>
        <a:prstGeom prst="rect">
          <a:avLst/>
        </a:prstGeom>
      </xdr:spPr>
    </xdr:pic>
    <xdr:clientData/>
  </xdr:twoCellAnchor>
  <xdr:twoCellAnchor>
    <xdr:from>
      <xdr:col>1</xdr:col>
      <xdr:colOff>381000</xdr:colOff>
      <xdr:row>50</xdr:row>
      <xdr:rowOff>123825</xdr:rowOff>
    </xdr:from>
    <xdr:to>
      <xdr:col>5</xdr:col>
      <xdr:colOff>2828925</xdr:colOff>
      <xdr:row>56</xdr:row>
      <xdr:rowOff>19050</xdr:rowOff>
    </xdr:to>
    <xdr:sp macro="" textlink="">
      <xdr:nvSpPr>
        <xdr:cNvPr id="3" name="TextBox 2"/>
        <xdr:cNvSpPr txBox="1"/>
      </xdr:nvSpPr>
      <xdr:spPr>
        <a:xfrm>
          <a:off x="704850" y="10029825"/>
          <a:ext cx="692467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 diagram illustrates the cross-sectional</a:t>
          </a:r>
          <a:r>
            <a:rPr lang="en-CA" sz="1100" baseline="0"/>
            <a:t> view of a sample underquilt. The </a:t>
          </a:r>
          <a:r>
            <a:rPr lang="en-CA" sz="1100" baseline="0">
              <a:solidFill>
                <a:srgbClr val="FF0000"/>
              </a:solidFill>
            </a:rPr>
            <a:t>red </a:t>
          </a:r>
          <a:r>
            <a:rPr lang="en-CA" sz="1100" baseline="0"/>
            <a:t>section shows the fabric that is defined by the "Outer Shell Fabric Dimensions" value. The </a:t>
          </a:r>
          <a:r>
            <a:rPr lang="en-CA" sz="1100" baseline="0">
              <a:solidFill>
                <a:schemeClr val="tx2">
                  <a:lumMod val="60000"/>
                  <a:lumOff val="40000"/>
                </a:schemeClr>
              </a:solidFill>
            </a:rPr>
            <a:t>blue </a:t>
          </a:r>
          <a:r>
            <a:rPr lang="en-CA" sz="1100" baseline="0">
              <a:solidFill>
                <a:schemeClr val="dk1"/>
              </a:solidFill>
              <a:effectLst/>
              <a:latin typeface="+mn-lt"/>
              <a:ea typeface="+mn-ea"/>
              <a:cs typeface="+mn-cs"/>
            </a:rPr>
            <a:t>section shows the fabric that is defined by the "Inner Shell Fabric Dimensions" value. The thin black lines represent the baffles.  When hung, the Inner shell faces the hammock, while the Outer shell will face away from the hammock. Suspension channels (or loops for the shock cord) would be attached along the edges where the Outer shell meets the Inner shell.</a:t>
          </a:r>
          <a:endParaRPr lang="en-CA" sz="1100">
            <a:solidFill>
              <a:schemeClr val="tx2">
                <a:lumMod val="60000"/>
                <a:lumOff val="4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7"/>
  <sheetViews>
    <sheetView tabSelected="1" workbookViewId="0"/>
  </sheetViews>
  <sheetFormatPr defaultRowHeight="15" x14ac:dyDescent="0.25"/>
  <cols>
    <col min="1" max="1" width="4.85546875" customWidth="1"/>
    <col min="2" max="2" width="36.28515625" customWidth="1"/>
    <col min="3" max="3" width="12.5703125" customWidth="1"/>
    <col min="6" max="6" width="46.85546875" bestFit="1" customWidth="1"/>
    <col min="7" max="7" width="5.85546875" customWidth="1"/>
    <col min="8" max="8" width="10.42578125" customWidth="1"/>
    <col min="9" max="9" width="5.42578125" customWidth="1"/>
    <col min="12" max="12" width="33.85546875" bestFit="1" customWidth="1"/>
    <col min="13" max="13" width="9" customWidth="1"/>
  </cols>
  <sheetData>
    <row r="2" spans="2:14" ht="23.25" x14ac:dyDescent="0.35">
      <c r="B2" s="10" t="s">
        <v>48</v>
      </c>
    </row>
    <row r="3" spans="2:14" x14ac:dyDescent="0.25">
      <c r="B3" t="s">
        <v>50</v>
      </c>
    </row>
    <row r="6" spans="2:14" ht="21" x14ac:dyDescent="0.35">
      <c r="B6" s="11" t="s">
        <v>13</v>
      </c>
      <c r="F6" s="11" t="s">
        <v>14</v>
      </c>
      <c r="L6" s="1" t="s">
        <v>24</v>
      </c>
    </row>
    <row r="7" spans="2:14" x14ac:dyDescent="0.25">
      <c r="F7" s="12" t="s">
        <v>49</v>
      </c>
    </row>
    <row r="8" spans="2:14" ht="17.25" x14ac:dyDescent="0.25">
      <c r="L8" t="s">
        <v>16</v>
      </c>
      <c r="M8">
        <f>G21/G20</f>
        <v>1.3333333333333333E-3</v>
      </c>
      <c r="N8" t="s">
        <v>17</v>
      </c>
    </row>
    <row r="9" spans="2:14" x14ac:dyDescent="0.25">
      <c r="B9" t="s">
        <v>43</v>
      </c>
      <c r="C9" s="2">
        <v>77</v>
      </c>
      <c r="F9" t="s">
        <v>36</v>
      </c>
      <c r="G9" s="8">
        <f>C9</f>
        <v>77</v>
      </c>
      <c r="H9" t="s">
        <v>7</v>
      </c>
      <c r="I9" s="8">
        <f>C10</f>
        <v>50</v>
      </c>
      <c r="J9" t="s">
        <v>8</v>
      </c>
      <c r="L9" t="s">
        <v>18</v>
      </c>
      <c r="M9">
        <f>(C12+C11)/2</f>
        <v>3.5</v>
      </c>
      <c r="N9" t="s">
        <v>8</v>
      </c>
    </row>
    <row r="10" spans="2:14" x14ac:dyDescent="0.25">
      <c r="B10" t="s">
        <v>42</v>
      </c>
      <c r="C10" s="2">
        <v>50</v>
      </c>
      <c r="F10" t="s">
        <v>44</v>
      </c>
      <c r="G10" s="14">
        <f>C10/C13</f>
        <v>4.166666666666667</v>
      </c>
      <c r="H10" t="s">
        <v>8</v>
      </c>
      <c r="L10" t="s">
        <v>32</v>
      </c>
      <c r="M10">
        <f>(C14/850)</f>
        <v>0.88235294117647056</v>
      </c>
      <c r="N10" t="s">
        <v>33</v>
      </c>
    </row>
    <row r="11" spans="2:14" ht="17.25" x14ac:dyDescent="0.25">
      <c r="B11" t="s">
        <v>46</v>
      </c>
      <c r="C11" s="3">
        <v>3</v>
      </c>
      <c r="L11" t="s">
        <v>22</v>
      </c>
      <c r="M11">
        <f>M8*M9*M10</f>
        <v>4.1176470588235288E-3</v>
      </c>
      <c r="N11" t="s">
        <v>21</v>
      </c>
    </row>
    <row r="12" spans="2:14" x14ac:dyDescent="0.25">
      <c r="B12" t="s">
        <v>47</v>
      </c>
      <c r="C12" s="3">
        <v>4</v>
      </c>
      <c r="F12" t="s">
        <v>35</v>
      </c>
      <c r="G12" s="8">
        <f>C9</f>
        <v>77</v>
      </c>
      <c r="H12" t="s">
        <v>7</v>
      </c>
      <c r="I12" s="8">
        <f>G13*C13+(C11*2)</f>
        <v>67.602458491677581</v>
      </c>
      <c r="J12" t="s">
        <v>8</v>
      </c>
      <c r="L12" t="s">
        <v>23</v>
      </c>
      <c r="M12" s="9">
        <f>-17389.0897965567*M11+69.1893383835</f>
        <v>-2.4127960729099271</v>
      </c>
      <c r="N12" t="s">
        <v>15</v>
      </c>
    </row>
    <row r="13" spans="2:14" x14ac:dyDescent="0.25">
      <c r="B13" t="s">
        <v>2</v>
      </c>
      <c r="C13" s="4">
        <v>12</v>
      </c>
      <c r="F13" t="s">
        <v>45</v>
      </c>
      <c r="G13" s="14">
        <f>(SQRT(((G10/2)^2+(C12-C11)^2)*2)/2)*PI()</f>
        <v>5.1335382076397984</v>
      </c>
      <c r="H13" t="s">
        <v>8</v>
      </c>
    </row>
    <row r="14" spans="2:14" x14ac:dyDescent="0.25">
      <c r="B14" t="s">
        <v>0</v>
      </c>
      <c r="C14" s="4">
        <v>750</v>
      </c>
      <c r="M14" t="s">
        <v>20</v>
      </c>
      <c r="N14" t="s">
        <v>31</v>
      </c>
    </row>
    <row r="15" spans="2:14" ht="17.25" x14ac:dyDescent="0.25">
      <c r="B15" t="s">
        <v>1</v>
      </c>
      <c r="C15" s="5">
        <v>0</v>
      </c>
      <c r="F15" t="s">
        <v>3</v>
      </c>
      <c r="G15">
        <f>(PI()*G10*(C12-C11)*2/4)/2+(C11*G10)</f>
        <v>15.772492347489369</v>
      </c>
      <c r="H15" t="s">
        <v>9</v>
      </c>
      <c r="L15" t="s">
        <v>25</v>
      </c>
      <c r="M15">
        <v>1.8132075754457926E-3</v>
      </c>
      <c r="N15">
        <v>40</v>
      </c>
    </row>
    <row r="16" spans="2:14" x14ac:dyDescent="0.25">
      <c r="B16" t="s">
        <v>34</v>
      </c>
      <c r="L16" t="s">
        <v>28</v>
      </c>
      <c r="M16">
        <v>1.697270162156234E-3</v>
      </c>
      <c r="N16">
        <v>37.5</v>
      </c>
    </row>
    <row r="17" spans="2:14" ht="17.25" x14ac:dyDescent="0.25">
      <c r="F17" t="s">
        <v>4</v>
      </c>
      <c r="G17">
        <f>G15*C9</f>
        <v>1214.4819107566814</v>
      </c>
      <c r="H17" t="s">
        <v>10</v>
      </c>
      <c r="L17" t="s">
        <v>26</v>
      </c>
      <c r="M17">
        <v>2.8546125094481862E-3</v>
      </c>
      <c r="N17">
        <v>20</v>
      </c>
    </row>
    <row r="18" spans="2:14" ht="17.25" x14ac:dyDescent="0.25">
      <c r="B18" t="s">
        <v>39</v>
      </c>
      <c r="C18" s="4">
        <v>1.1000000000000001</v>
      </c>
      <c r="F18" t="s">
        <v>5</v>
      </c>
      <c r="G18" s="15">
        <f>G21/C13</f>
        <v>1.6193092143422418</v>
      </c>
      <c r="H18" t="s">
        <v>12</v>
      </c>
      <c r="L18" t="s">
        <v>29</v>
      </c>
      <c r="M18">
        <v>2.9967017335623802E-3</v>
      </c>
      <c r="N18">
        <v>17.5</v>
      </c>
    </row>
    <row r="19" spans="2:14" ht="17.25" x14ac:dyDescent="0.25">
      <c r="B19" t="s">
        <v>38</v>
      </c>
      <c r="C19" s="4">
        <v>0.95</v>
      </c>
      <c r="L19" t="s">
        <v>27</v>
      </c>
      <c r="M19">
        <v>3.8061500125975817E-3</v>
      </c>
      <c r="N19">
        <v>0</v>
      </c>
    </row>
    <row r="20" spans="2:14" ht="17.25" x14ac:dyDescent="0.25">
      <c r="F20" t="s">
        <v>11</v>
      </c>
      <c r="G20">
        <f>G17*C13</f>
        <v>14573.782929080176</v>
      </c>
      <c r="H20" t="s">
        <v>10</v>
      </c>
      <c r="L20" t="s">
        <v>30</v>
      </c>
      <c r="M20">
        <v>4.2358458899924654E-3</v>
      </c>
      <c r="N20">
        <v>-2.5</v>
      </c>
    </row>
    <row r="21" spans="2:14" x14ac:dyDescent="0.25">
      <c r="F21" t="s">
        <v>6</v>
      </c>
      <c r="G21" s="7">
        <f>(G20/C14)*(1+C15)</f>
        <v>19.431710572106901</v>
      </c>
      <c r="H21" t="s">
        <v>12</v>
      </c>
    </row>
    <row r="23" spans="2:14" x14ac:dyDescent="0.25">
      <c r="B23" s="12" t="s">
        <v>40</v>
      </c>
      <c r="F23" t="s">
        <v>19</v>
      </c>
      <c r="G23" s="6">
        <f>((G9*I9)+(G12*I12))*C18*0.000771604938*1.15+G21+(C11*C9*(C13-1))*0.000771604938*C19*1.15</f>
        <v>30.412505297702971</v>
      </c>
      <c r="H23" t="s">
        <v>12</v>
      </c>
    </row>
    <row r="24" spans="2:14" x14ac:dyDescent="0.25">
      <c r="F24" t="s">
        <v>37</v>
      </c>
    </row>
    <row r="27" spans="2:14" x14ac:dyDescent="0.25">
      <c r="D27" s="13" t="s">
        <v>41</v>
      </c>
    </row>
  </sheetData>
  <protectedRanges>
    <protectedRange sqref="C9:C15 C18:C19 G21" name="Range1"/>
  </protectedRange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CatSplat</dc:creator>
  <cp:lastModifiedBy>CatSplat</cp:lastModifiedBy>
  <dcterms:created xsi:type="dcterms:W3CDTF">2012-05-29T03:15:27Z</dcterms:created>
  <dcterms:modified xsi:type="dcterms:W3CDTF">2012-06-14T04:02:36Z</dcterms:modified>
</cp:coreProperties>
</file>